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f5806cf0b9aa3c6/Documentos/Proyecto de retencion en la fuente/"/>
    </mc:Choice>
  </mc:AlternateContent>
  <xr:revisionPtr revIDLastSave="99" documentId="8_{076CBA5D-F79B-4C42-9CD4-87AF4304EA11}" xr6:coauthVersionLast="47" xr6:coauthVersionMax="47" xr10:uidLastSave="{801C7A58-39F4-49A4-85E0-0252903F89E9}"/>
  <bookViews>
    <workbookView xWindow="-120" yWindow="-120" windowWidth="29040" windowHeight="15720" xr2:uid="{7FBDF838-B699-4A0E-BA2D-AEDCDC3DBEE2}"/>
  </bookViews>
  <sheets>
    <sheet name="LIQUIDADOR DE RTE FTE SALARIOS" sheetId="1" r:id="rId1"/>
  </sheets>
  <definedNames>
    <definedName name="_xlnm._FilterDatabase" localSheetId="0" hidden="1">'LIQUIDADOR DE RTE FTE SALARIOS'!$C$38:$C$39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F56" i="1"/>
  <c r="E55" i="1"/>
  <c r="C55" i="1"/>
  <c r="D49" i="1"/>
  <c r="D48" i="1"/>
  <c r="D47" i="1"/>
  <c r="D46" i="1"/>
  <c r="D45" i="1"/>
  <c r="E43" i="1"/>
  <c r="E38" i="1"/>
  <c r="E37" i="1"/>
  <c r="D37" i="1"/>
  <c r="E34" i="1"/>
  <c r="D34" i="1" s="1"/>
  <c r="E33" i="1"/>
  <c r="D33" i="1"/>
  <c r="D29" i="1"/>
  <c r="E28" i="1"/>
  <c r="D27" i="1"/>
  <c r="D26" i="1"/>
  <c r="D22" i="1"/>
  <c r="D21" i="1"/>
  <c r="D20" i="1"/>
  <c r="D19" i="1"/>
  <c r="D18" i="1"/>
  <c r="B17" i="1"/>
  <c r="D16" i="1"/>
  <c r="D15" i="1"/>
  <c r="D14" i="1"/>
  <c r="D13" i="1"/>
  <c r="D12" i="1"/>
  <c r="D11" i="1"/>
  <c r="D10" i="1"/>
  <c r="D9" i="1"/>
  <c r="D23" i="1" l="1"/>
  <c r="E44" i="1" s="1"/>
  <c r="D43" i="1" s="1"/>
  <c r="D50" i="1" s="1"/>
  <c r="D28" i="1" l="1"/>
  <c r="D30" i="1" s="1"/>
  <c r="C56" i="1" s="1"/>
  <c r="F38" i="1"/>
  <c r="D38" i="1" s="1"/>
  <c r="D40" i="1" s="1"/>
  <c r="E56" i="1" l="1"/>
  <c r="D56" i="1" s="1"/>
  <c r="D52" i="1"/>
  <c r="D54" i="1" s="1"/>
  <c r="F55" i="1"/>
  <c r="D55" i="1" s="1"/>
  <c r="D58" i="1" s="1"/>
  <c r="D59" i="1" l="1"/>
  <c r="E69" i="1" s="1"/>
  <c r="E66" i="1" l="1"/>
  <c r="E65" i="1"/>
  <c r="B72" i="1" s="1" a="1"/>
  <c r="B72" i="1" s="1"/>
  <c r="D72" i="1" s="1"/>
  <c r="E64" i="1"/>
  <c r="E68" i="1"/>
  <c r="E6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<sst xmlns="http://schemas.openxmlformats.org/spreadsheetml/2006/main" count="104" uniqueCount="84">
  <si>
    <t>PAGOS LABOLARES</t>
  </si>
  <si>
    <t>NORMA ET</t>
  </si>
  <si>
    <t>DILIGENCIABLE</t>
  </si>
  <si>
    <t>FISCAL</t>
  </si>
  <si>
    <t>SUELDO</t>
  </si>
  <si>
    <t>AUX TRANSPORTE</t>
  </si>
  <si>
    <t>COMISIONES</t>
  </si>
  <si>
    <t>HORAS EXTRAS</t>
  </si>
  <si>
    <t>RECARGOS NOCTURNOS Y DOMINICALES</t>
  </si>
  <si>
    <t>OTROS AUXILIOS</t>
  </si>
  <si>
    <t>BONIFICACIONES</t>
  </si>
  <si>
    <t>VIATICOS</t>
  </si>
  <si>
    <t xml:space="preserve"> PAGO POR ALIMENTACION AL TRABAJADOR (LIMITE  41 UVT ART 387-1)</t>
  </si>
  <si>
    <t>INCAPACIDADES</t>
  </si>
  <si>
    <t>LICENCIA DE MATERNIDA</t>
  </si>
  <si>
    <t>VACACIONES</t>
  </si>
  <si>
    <t>PRIMAS EXTRALEGALES</t>
  </si>
  <si>
    <t>OTROS INGRESO  LABORALES</t>
  </si>
  <si>
    <t>TOTAL INGRESOS DEL MES</t>
  </si>
  <si>
    <t xml:space="preserve">INGRESOS NO CONSTITUTIVOS DE RENTA </t>
  </si>
  <si>
    <t>LIMITE FISCAL</t>
  </si>
  <si>
    <t>APORTES OBLIGATORIAS A FONDOS PENSION  LIMITE (25% O 2500 UVT )</t>
  </si>
  <si>
    <t>ART 55</t>
  </si>
  <si>
    <t>FONDO DE SOLIDARIDAD PENSIONAL</t>
  </si>
  <si>
    <t>APORTES VOLUNTARIOS A FONDOS DE PENSIONES OBLIGATORIOS (RAI)</t>
  </si>
  <si>
    <t>APORTES OBLIGATORIOS AL SISTEMA DE SALUD</t>
  </si>
  <si>
    <t>ART 56</t>
  </si>
  <si>
    <t xml:space="preserve">TOTAL INGRESOS NO CONSTITUTIVOS DE RENTA </t>
  </si>
  <si>
    <t>DEDUCCIONES</t>
  </si>
  <si>
    <t>INTERESES POR PRESTAMOS DE VIVIENDA</t>
  </si>
  <si>
    <t>ART 119 ET</t>
  </si>
  <si>
    <t>PAGOS POR SALUD PREPAGADA</t>
  </si>
  <si>
    <t>ART 387 ET</t>
  </si>
  <si>
    <t>PLAN COMPLEMENTARIO DE SALUD</t>
  </si>
  <si>
    <t>SEGUROS DE SALUD</t>
  </si>
  <si>
    <t>INTERESES DE ICETEX</t>
  </si>
  <si>
    <t>POR DEPENDIENTES ECONOMICOS</t>
  </si>
  <si>
    <t>SI</t>
  </si>
  <si>
    <t>NO</t>
  </si>
  <si>
    <t>TOTAL DEDUCCIONES</t>
  </si>
  <si>
    <t>MENOS RENTAS EXENTAS</t>
  </si>
  <si>
    <t>APORTES A FONDOS DE PENSIONES VOLUNTARIAS</t>
  </si>
  <si>
    <t>ART 126-1</t>
  </si>
  <si>
    <t xml:space="preserve">DESCUENTOS DE AFC, AVC </t>
  </si>
  <si>
    <t>ART 126-4</t>
  </si>
  <si>
    <t>INDENIZACIONES POR ACCIDENTES DE TRABAJO</t>
  </si>
  <si>
    <t>ART 206</t>
  </si>
  <si>
    <t>GASTOS DE REPRESENTACION DE RECTORES Y PROFESORES</t>
  </si>
  <si>
    <t>ART 206 NUM 3</t>
  </si>
  <si>
    <t>INDENIZACION PROTECCION A LA MATERNIDAD</t>
  </si>
  <si>
    <t>GASTOS ENTIERRO DE TRABAJO</t>
  </si>
  <si>
    <t>OTRAS RENTAS EXENTAS</t>
  </si>
  <si>
    <t>TOTAL  RENTAS EXENTAS</t>
  </si>
  <si>
    <t>SUBTOTAL</t>
  </si>
  <si>
    <t>LIMITE</t>
  </si>
  <si>
    <t>PORCENTAJE</t>
  </si>
  <si>
    <t>MENOS RENTA EXCENTA DEL 25%</t>
  </si>
  <si>
    <t xml:space="preserve">AR 206 790 ANUAL </t>
  </si>
  <si>
    <t>LIMITE DE RENTA EXENTA</t>
  </si>
  <si>
    <t>40% O 1340 UVT</t>
  </si>
  <si>
    <t>BASE GRAVABLE</t>
  </si>
  <si>
    <t>VALOR EN UVT</t>
  </si>
  <si>
    <t>Rangos en  UVT</t>
  </si>
  <si>
    <t>Tarifa marginal</t>
  </si>
  <si>
    <t>Impuesto uvt</t>
  </si>
  <si>
    <t>FORMULA</t>
  </si>
  <si>
    <t>Desde</t>
  </si>
  <si>
    <t>Hasta</t>
  </si>
  <si>
    <t>NO APLICA</t>
  </si>
  <si>
    <t>&gt;0</t>
  </si>
  <si>
    <t>(Ingreso laboral gravado expresado en UVT menos 95 UVT)*19%</t>
  </si>
  <si>
    <t>(Ingreso laboral gravado expresado en UVT menos 150 UVT)*28% más 10 UVT</t>
  </si>
  <si>
    <t>(Ingreso laboral gravado expresado en UVT menos 360 UVT)*33% más 69 UVT</t>
  </si>
  <si>
    <t>(Ingreso laboral gravado expresado en UVT menos 640 UVT)*35% más 162 UVT</t>
  </si>
  <si>
    <t>(Ingreso laboral gravado expresado en UVT menos 945 UVT)*37% más 268 UVT</t>
  </si>
  <si>
    <t xml:space="preserve"> </t>
  </si>
  <si>
    <t>(Ingreso laboral gravado expresado en UVT menos 2300 UVT)*39% más 770 UVT</t>
  </si>
  <si>
    <t>En adelante</t>
  </si>
  <si>
    <t>Deacuerdo a la tabla cual seria en impuesto en uvt</t>
  </si>
  <si>
    <t>Impuesto</t>
  </si>
  <si>
    <t xml:space="preserve">Aporte Voluntario para nuevas Actualizaciones tributarias </t>
  </si>
  <si>
    <t>NOMBRE DEL TRABAJADOR:</t>
  </si>
  <si>
    <t xml:space="preserve">                       LIQUIDADOR DE RETENCION EN LA FUENTE POR SALARIOS 2025</t>
  </si>
  <si>
    <t>UVT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</si>
</sst>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3" x14ac:knownFonts="1"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10"/>
      <color rgb="FF002060"/>
      <name val="Arial"/>
      <family val="2"/>
    </font>
    <font>
      <sz val="11"/>
      <color theme="0" tint="-4.9989318521683403E-2"/>
      <name val="Arial"/>
      <family val="2"/>
    </font>
    <font>
      <sz val="11"/>
      <color theme="0"/>
      <name val="Arial"/>
      <family val="2"/>
    </font>
    <font>
      <sz val="16"/>
      <color theme="0"/>
      <name val="Arial"/>
      <family val="2"/>
    </font>
    <font>
      <sz val="26"/>
      <color theme="0"/>
      <name val="Arial"/>
      <family val="2"/>
    </font>
    <font>
      <i/>
      <sz val="11"/>
      <color theme="0"/>
      <name val="Arial"/>
      <family val="2"/>
    </font>
    <font>
      <sz val="16"/>
      <name val="Arial"/>
      <family val="2"/>
    </font>
    <font>
      <u/>
      <sz val="10"/>
      <color theme="10"/>
      <name val="Arial"/>
      <family val="2"/>
    </font>
    <font>
      <u/>
      <sz val="1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4">
    <xf numFmtId="0" fontId="0" fillId="0" borderId="0" xfId="0"/>
    <xf numFmtId="165" fontId="3" fillId="2" borderId="0" xfId="1" applyNumberFormat="1" applyFont="1" applyFill="1"/>
    <xf numFmtId="165" fontId="0" fillId="0" borderId="0" xfId="1" applyNumberFormat="1" applyFont="1"/>
    <xf numFmtId="0" fontId="1" fillId="2" borderId="1" xfId="0" applyFont="1" applyFill="1" applyBorder="1"/>
    <xf numFmtId="165" fontId="1" fillId="2" borderId="1" xfId="1" applyNumberFormat="1" applyFont="1" applyFill="1" applyBorder="1"/>
    <xf numFmtId="165" fontId="3" fillId="2" borderId="2" xfId="1" applyNumberFormat="1" applyFont="1" applyFill="1" applyBorder="1"/>
    <xf numFmtId="0" fontId="0" fillId="0" borderId="1" xfId="0" applyBorder="1"/>
    <xf numFmtId="0" fontId="3" fillId="2" borderId="1" xfId="0" applyFont="1" applyFill="1" applyBorder="1"/>
    <xf numFmtId="165" fontId="0" fillId="0" borderId="1" xfId="1" applyNumberFormat="1" applyFont="1" applyBorder="1"/>
    <xf numFmtId="0" fontId="2" fillId="0" borderId="1" xfId="0" applyFont="1" applyBorder="1"/>
    <xf numFmtId="165" fontId="3" fillId="2" borderId="1" xfId="0" applyNumberFormat="1" applyFont="1" applyFill="1" applyBorder="1"/>
    <xf numFmtId="165" fontId="0" fillId="0" borderId="2" xfId="1" applyNumberFormat="1" applyFont="1" applyBorder="1"/>
    <xf numFmtId="0" fontId="1" fillId="2" borderId="3" xfId="0" applyFont="1" applyFill="1" applyBorder="1"/>
    <xf numFmtId="165" fontId="3" fillId="2" borderId="0" xfId="0" applyNumberFormat="1" applyFont="1" applyFill="1"/>
    <xf numFmtId="0" fontId="0" fillId="0" borderId="1" xfId="0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2" fillId="0" borderId="0" xfId="0" applyFont="1"/>
    <xf numFmtId="0" fontId="3" fillId="2" borderId="4" xfId="0" applyFont="1" applyFill="1" applyBorder="1" applyAlignment="1">
      <alignment horizontal="center"/>
    </xf>
    <xf numFmtId="0" fontId="4" fillId="2" borderId="1" xfId="0" applyFont="1" applyFill="1" applyBorder="1"/>
    <xf numFmtId="165" fontId="2" fillId="0" borderId="1" xfId="1" applyNumberFormat="1" applyFont="1" applyBorder="1"/>
    <xf numFmtId="165" fontId="3" fillId="2" borderId="1" xfId="1" applyNumberFormat="1" applyFont="1" applyFill="1" applyBorder="1"/>
    <xf numFmtId="165" fontId="3" fillId="2" borderId="3" xfId="0" applyNumberFormat="1" applyFont="1" applyFill="1" applyBorder="1"/>
    <xf numFmtId="0" fontId="1" fillId="2" borderId="0" xfId="0" applyFont="1" applyFill="1"/>
    <xf numFmtId="0" fontId="1" fillId="2" borderId="7" xfId="0" applyFont="1" applyFill="1" applyBorder="1"/>
    <xf numFmtId="165" fontId="1" fillId="2" borderId="7" xfId="1" applyNumberFormat="1" applyFont="1" applyFill="1" applyBorder="1"/>
    <xf numFmtId="0" fontId="3" fillId="2" borderId="0" xfId="0" applyFont="1" applyFill="1"/>
    <xf numFmtId="0" fontId="3" fillId="0" borderId="0" xfId="0" applyFont="1"/>
    <xf numFmtId="0" fontId="5" fillId="2" borderId="9" xfId="0" applyFont="1" applyFill="1" applyBorder="1" applyAlignment="1">
      <alignment horizontal="center" vertical="top"/>
    </xf>
    <xf numFmtId="165" fontId="5" fillId="2" borderId="9" xfId="1" applyNumberFormat="1" applyFont="1" applyFill="1" applyBorder="1" applyAlignment="1">
      <alignment horizontal="center" vertical="top"/>
    </xf>
    <xf numFmtId="165" fontId="0" fillId="0" borderId="0" xfId="0" applyNumberFormat="1"/>
    <xf numFmtId="0" fontId="0" fillId="2" borderId="0" xfId="0" applyFill="1"/>
    <xf numFmtId="0" fontId="3" fillId="2" borderId="2" xfId="0" applyFont="1" applyFill="1" applyBorder="1"/>
    <xf numFmtId="0" fontId="6" fillId="2" borderId="11" xfId="0" applyFont="1" applyFill="1" applyBorder="1" applyAlignment="1">
      <alignment horizontal="center" vertical="top"/>
    </xf>
    <xf numFmtId="165" fontId="6" fillId="2" borderId="11" xfId="1" applyNumberFormat="1" applyFont="1" applyFill="1" applyBorder="1" applyAlignment="1">
      <alignment horizontal="center" vertical="top"/>
    </xf>
    <xf numFmtId="164" fontId="9" fillId="2" borderId="11" xfId="1" applyFont="1" applyFill="1" applyBorder="1" applyAlignment="1">
      <alignment horizontal="center" vertical="top"/>
    </xf>
    <xf numFmtId="0" fontId="6" fillId="2" borderId="12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center" vertical="top"/>
    </xf>
    <xf numFmtId="165" fontId="6" fillId="2" borderId="2" xfId="1" applyNumberFormat="1" applyFont="1" applyFill="1" applyBorder="1" applyAlignment="1">
      <alignment horizontal="center" vertical="top"/>
    </xf>
    <xf numFmtId="165" fontId="6" fillId="2" borderId="12" xfId="1" applyNumberFormat="1" applyFont="1" applyFill="1" applyBorder="1" applyAlignment="1">
      <alignment horizontal="left" vertical="top"/>
    </xf>
    <xf numFmtId="0" fontId="6" fillId="2" borderId="9" xfId="0" applyFont="1" applyFill="1" applyBorder="1" applyAlignment="1">
      <alignment horizontal="center" vertical="top"/>
    </xf>
    <xf numFmtId="165" fontId="6" fillId="2" borderId="9" xfId="1" applyNumberFormat="1" applyFont="1" applyFill="1" applyBorder="1" applyAlignment="1">
      <alignment horizontal="center" vertical="top"/>
    </xf>
    <xf numFmtId="0" fontId="6" fillId="2" borderId="1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top"/>
    </xf>
    <xf numFmtId="165" fontId="7" fillId="2" borderId="2" xfId="0" applyNumberFormat="1" applyFont="1" applyFill="1" applyBorder="1"/>
    <xf numFmtId="165" fontId="7" fillId="2" borderId="2" xfId="1" applyNumberFormat="1" applyFont="1" applyFill="1" applyBorder="1" applyAlignment="1">
      <alignment horizontal="center" vertical="top"/>
    </xf>
    <xf numFmtId="165" fontId="7" fillId="2" borderId="2" xfId="1" applyNumberFormat="1" applyFont="1" applyFill="1" applyBorder="1"/>
    <xf numFmtId="0" fontId="10" fillId="0" borderId="0" xfId="0" applyFont="1"/>
    <xf numFmtId="165" fontId="0" fillId="2" borderId="0" xfId="1" applyNumberFormat="1" applyFont="1" applyFill="1"/>
    <xf numFmtId="0" fontId="0" fillId="3" borderId="0" xfId="0" applyFill="1"/>
    <xf numFmtId="0" fontId="8" fillId="2" borderId="0" xfId="0" applyFont="1" applyFill="1" applyAlignment="1">
      <alignment horizontal="center" vertical="center" wrapText="1"/>
    </xf>
    <xf numFmtId="0" fontId="12" fillId="4" borderId="0" xfId="2" applyFont="1" applyFill="1" applyAlignment="1">
      <alignment horizontal="center"/>
    </xf>
    <xf numFmtId="165" fontId="3" fillId="2" borderId="4" xfId="1" applyNumberFormat="1" applyFont="1" applyFill="1" applyBorder="1" applyAlignment="1">
      <alignment horizontal="center"/>
    </xf>
    <xf numFmtId="165" fontId="3" fillId="2" borderId="5" xfId="1" applyNumberFormat="1" applyFont="1" applyFill="1" applyBorder="1" applyAlignment="1">
      <alignment horizontal="center"/>
    </xf>
    <xf numFmtId="165" fontId="3" fillId="2" borderId="6" xfId="1" applyNumberFormat="1" applyFont="1" applyFill="1" applyBorder="1" applyAlignment="1">
      <alignment horizontal="center"/>
    </xf>
    <xf numFmtId="165" fontId="3" fillId="2" borderId="3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65" fontId="5" fillId="2" borderId="4" xfId="1" applyNumberFormat="1" applyFont="1" applyFill="1" applyBorder="1" applyAlignment="1">
      <alignment horizontal="center" vertical="top"/>
    </xf>
    <xf numFmtId="165" fontId="5" fillId="2" borderId="10" xfId="1" applyNumberFormat="1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9" fontId="6" fillId="2" borderId="11" xfId="3" applyFont="1" applyFill="1" applyBorder="1" applyAlignment="1">
      <alignment horizontal="right" vertical="top"/>
    </xf>
    <xf numFmtId="9" fontId="6" fillId="2" borderId="2" xfId="3" applyFont="1" applyFill="1" applyBorder="1" applyAlignment="1">
      <alignment horizontal="right" vertical="top"/>
    </xf>
    <xf numFmtId="9" fontId="6" fillId="2" borderId="9" xfId="3" applyFont="1" applyFill="1" applyBorder="1" applyAlignment="1">
      <alignment horizontal="right" vertical="top"/>
    </xf>
  </cellXfs>
  <cellStyles count="4">
    <cellStyle name="Hipervínculo" xfId="2" builtinId="8"/>
    <cellStyle name="Millares" xfId="1" builtinId="3"/>
    <cellStyle name="Normal" xfId="0" builtinId="0"/>
    <cellStyle name="Porcentaje" xfId="3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alexanderfinanzas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602683</xdr:colOff>
      <xdr:row>3</xdr:row>
      <xdr:rowOff>142875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77D3E6-1748-4499-B263-4B7DB45EC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268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lexanderfinanzas.com/tributaria/aportesvoluntari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B3699-A7B8-43F4-B4D6-109936D6FEB4}">
  <dimension ref="A1:G78"/>
  <sheetViews>
    <sheetView tabSelected="1" workbookViewId="0">
      <selection sqref="A1:F5"/>
    </sheetView>
  </sheetViews>
  <sheetFormatPr baseColWidth="10" defaultColWidth="9.140625" defaultRowHeight="12.75" x14ac:dyDescent="0.2"/>
  <cols>
    <col min="1" max="1" width="76.5703125" customWidth="1"/>
    <col min="2" max="2" width="16.140625" customWidth="1"/>
    <col min="3" max="3" width="16.140625" style="2" customWidth="1"/>
    <col min="4" max="4" width="16.85546875" style="2" bestFit="1" customWidth="1"/>
    <col min="5" max="5" width="14" customWidth="1"/>
    <col min="6" max="6" width="11.42578125" customWidth="1"/>
    <col min="7" max="7" width="15.7109375" customWidth="1"/>
    <col min="8" max="8" width="30.7109375" customWidth="1"/>
    <col min="9" max="9" width="76.7109375" customWidth="1"/>
    <col min="10" max="256" width="11.42578125" customWidth="1"/>
  </cols>
  <sheetData>
    <row r="1" spans="1:6" ht="12.75" customHeight="1" x14ac:dyDescent="0.2">
      <c r="A1" s="49" t="s">
        <v>82</v>
      </c>
      <c r="B1" s="49"/>
      <c r="C1" s="49"/>
      <c r="D1" s="49"/>
      <c r="E1" s="49"/>
      <c r="F1" s="49"/>
    </row>
    <row r="2" spans="1:6" ht="12.75" customHeight="1" x14ac:dyDescent="0.2">
      <c r="A2" s="49"/>
      <c r="B2" s="49"/>
      <c r="C2" s="49"/>
      <c r="D2" s="49"/>
      <c r="E2" s="49"/>
      <c r="F2" s="49"/>
    </row>
    <row r="3" spans="1:6" ht="12.75" customHeight="1" x14ac:dyDescent="0.2">
      <c r="A3" s="49"/>
      <c r="B3" s="49"/>
      <c r="C3" s="49"/>
      <c r="D3" s="49"/>
      <c r="E3" s="49"/>
      <c r="F3" s="49"/>
    </row>
    <row r="4" spans="1:6" x14ac:dyDescent="0.2">
      <c r="A4" s="49"/>
      <c r="B4" s="49"/>
      <c r="C4" s="49"/>
      <c r="D4" s="49"/>
      <c r="E4" s="49"/>
      <c r="F4" s="49"/>
    </row>
    <row r="5" spans="1:6" x14ac:dyDescent="0.2">
      <c r="A5" s="49"/>
      <c r="B5" s="49"/>
      <c r="C5" s="49"/>
      <c r="D5" s="49"/>
      <c r="E5" s="49"/>
      <c r="F5" s="49"/>
    </row>
    <row r="6" spans="1:6" x14ac:dyDescent="0.2">
      <c r="A6" s="25" t="s">
        <v>81</v>
      </c>
      <c r="B6" s="30"/>
      <c r="C6" s="1" t="s">
        <v>83</v>
      </c>
      <c r="D6" s="1">
        <v>49799</v>
      </c>
      <c r="E6" s="30"/>
      <c r="F6" s="30"/>
    </row>
    <row r="7" spans="1:6" x14ac:dyDescent="0.2">
      <c r="A7" s="48"/>
      <c r="B7" s="30"/>
      <c r="C7" s="47"/>
      <c r="D7" s="47"/>
      <c r="E7" s="30"/>
      <c r="F7" s="30"/>
    </row>
    <row r="8" spans="1:6" ht="15" x14ac:dyDescent="0.25">
      <c r="A8" s="3" t="s">
        <v>0</v>
      </c>
      <c r="B8" s="3" t="s">
        <v>1</v>
      </c>
      <c r="C8" s="4" t="s">
        <v>2</v>
      </c>
      <c r="D8" s="5" t="s">
        <v>3</v>
      </c>
      <c r="E8" s="30"/>
      <c r="F8" s="30"/>
    </row>
    <row r="9" spans="1:6" x14ac:dyDescent="0.2">
      <c r="A9" s="6" t="s">
        <v>4</v>
      </c>
      <c r="B9" s="7"/>
      <c r="C9" s="8">
        <v>0</v>
      </c>
      <c r="D9" s="5">
        <f>+C9</f>
        <v>0</v>
      </c>
      <c r="E9" s="30"/>
      <c r="F9" s="30"/>
    </row>
    <row r="10" spans="1:6" x14ac:dyDescent="0.2">
      <c r="A10" s="6" t="s">
        <v>5</v>
      </c>
      <c r="B10" s="7"/>
      <c r="C10" s="8"/>
      <c r="D10" s="5">
        <f t="shared" ref="D10:D22" si="0">+C10</f>
        <v>0</v>
      </c>
      <c r="E10" s="30"/>
      <c r="F10" s="30"/>
    </row>
    <row r="11" spans="1:6" x14ac:dyDescent="0.2">
      <c r="A11" s="6" t="s">
        <v>6</v>
      </c>
      <c r="B11" s="7"/>
      <c r="C11" s="8"/>
      <c r="D11" s="5">
        <f t="shared" si="0"/>
        <v>0</v>
      </c>
      <c r="E11" s="30"/>
      <c r="F11" s="30"/>
    </row>
    <row r="12" spans="1:6" x14ac:dyDescent="0.2">
      <c r="A12" s="6" t="s">
        <v>7</v>
      </c>
      <c r="B12" s="7"/>
      <c r="C12" s="8"/>
      <c r="D12" s="5">
        <f t="shared" si="0"/>
        <v>0</v>
      </c>
      <c r="E12" s="30"/>
      <c r="F12" s="30"/>
    </row>
    <row r="13" spans="1:6" x14ac:dyDescent="0.2">
      <c r="A13" s="6" t="s">
        <v>8</v>
      </c>
      <c r="B13" s="7"/>
      <c r="C13" s="8"/>
      <c r="D13" s="5">
        <f t="shared" si="0"/>
        <v>0</v>
      </c>
      <c r="E13" s="30"/>
      <c r="F13" s="30"/>
    </row>
    <row r="14" spans="1:6" x14ac:dyDescent="0.2">
      <c r="A14" s="6" t="s">
        <v>9</v>
      </c>
      <c r="B14" s="7"/>
      <c r="C14" s="8"/>
      <c r="D14" s="5">
        <f t="shared" si="0"/>
        <v>0</v>
      </c>
      <c r="E14" s="30"/>
      <c r="F14" s="30"/>
    </row>
    <row r="15" spans="1:6" x14ac:dyDescent="0.2">
      <c r="A15" s="6" t="s">
        <v>10</v>
      </c>
      <c r="B15" s="7"/>
      <c r="C15" s="8"/>
      <c r="D15" s="5">
        <f t="shared" si="0"/>
        <v>0</v>
      </c>
      <c r="E15" s="30"/>
      <c r="F15" s="30"/>
    </row>
    <row r="16" spans="1:6" x14ac:dyDescent="0.2">
      <c r="A16" s="6" t="s">
        <v>11</v>
      </c>
      <c r="B16" s="7"/>
      <c r="C16" s="8"/>
      <c r="D16" s="5">
        <f t="shared" si="0"/>
        <v>0</v>
      </c>
      <c r="E16" s="30"/>
      <c r="F16" s="30"/>
    </row>
    <row r="17" spans="1:7" x14ac:dyDescent="0.2">
      <c r="A17" s="9" t="s">
        <v>12</v>
      </c>
      <c r="B17" s="10">
        <f>41*D6</f>
        <v>2041759</v>
      </c>
      <c r="C17" s="8"/>
      <c r="D17" s="5">
        <f>+IF(C17&gt;B17,C17-B17,C17)</f>
        <v>0</v>
      </c>
      <c r="E17" s="47"/>
      <c r="F17" s="30"/>
    </row>
    <row r="18" spans="1:7" x14ac:dyDescent="0.2">
      <c r="A18" s="6" t="s">
        <v>13</v>
      </c>
      <c r="B18" s="7"/>
      <c r="C18" s="8"/>
      <c r="D18" s="5">
        <f t="shared" si="0"/>
        <v>0</v>
      </c>
      <c r="E18" s="30"/>
      <c r="F18" s="30"/>
    </row>
    <row r="19" spans="1:7" x14ac:dyDescent="0.2">
      <c r="A19" s="6" t="s">
        <v>14</v>
      </c>
      <c r="B19" s="7"/>
      <c r="C19" s="8"/>
      <c r="D19" s="5">
        <f t="shared" si="0"/>
        <v>0</v>
      </c>
      <c r="E19" s="30"/>
      <c r="F19" s="30"/>
    </row>
    <row r="20" spans="1:7" x14ac:dyDescent="0.2">
      <c r="A20" s="6" t="s">
        <v>15</v>
      </c>
      <c r="B20" s="7"/>
      <c r="C20" s="8"/>
      <c r="D20" s="5">
        <f t="shared" si="0"/>
        <v>0</v>
      </c>
      <c r="E20" s="30"/>
      <c r="F20" s="30"/>
    </row>
    <row r="21" spans="1:7" x14ac:dyDescent="0.2">
      <c r="A21" s="6" t="s">
        <v>16</v>
      </c>
      <c r="B21" s="7"/>
      <c r="C21" s="8"/>
      <c r="D21" s="5">
        <f t="shared" si="0"/>
        <v>0</v>
      </c>
      <c r="E21" s="30"/>
      <c r="F21" s="30"/>
    </row>
    <row r="22" spans="1:7" x14ac:dyDescent="0.2">
      <c r="A22" s="6" t="s">
        <v>17</v>
      </c>
      <c r="B22" s="7"/>
      <c r="C22" s="8"/>
      <c r="D22" s="5">
        <f t="shared" si="0"/>
        <v>0</v>
      </c>
      <c r="E22" s="30"/>
      <c r="F22" s="30"/>
    </row>
    <row r="23" spans="1:7" ht="15" x14ac:dyDescent="0.25">
      <c r="A23" s="3" t="s">
        <v>18</v>
      </c>
      <c r="B23" s="3"/>
      <c r="C23" s="4"/>
      <c r="D23" s="4">
        <f>SUM(D9:D22)</f>
        <v>0</v>
      </c>
      <c r="E23" s="30"/>
      <c r="F23" s="30"/>
    </row>
    <row r="24" spans="1:7" x14ac:dyDescent="0.2">
      <c r="D24" s="11"/>
    </row>
    <row r="25" spans="1:7" ht="15" x14ac:dyDescent="0.25">
      <c r="A25" s="3" t="s">
        <v>19</v>
      </c>
      <c r="B25" s="3" t="s">
        <v>1</v>
      </c>
      <c r="C25" s="4" t="s">
        <v>2</v>
      </c>
      <c r="D25" s="5" t="s">
        <v>3</v>
      </c>
      <c r="E25" s="12" t="s">
        <v>20</v>
      </c>
      <c r="F25" s="30"/>
    </row>
    <row r="26" spans="1:7" x14ac:dyDescent="0.2">
      <c r="A26" s="9" t="s">
        <v>21</v>
      </c>
      <c r="B26" s="7" t="s">
        <v>22</v>
      </c>
      <c r="C26" s="8"/>
      <c r="D26" s="5">
        <f>+C26</f>
        <v>0</v>
      </c>
      <c r="E26" s="13"/>
      <c r="F26" s="47"/>
    </row>
    <row r="27" spans="1:7" x14ac:dyDescent="0.2">
      <c r="A27" s="6" t="s">
        <v>23</v>
      </c>
      <c r="B27" s="7" t="s">
        <v>22</v>
      </c>
      <c r="C27" s="8"/>
      <c r="D27" s="5">
        <f>+C27</f>
        <v>0</v>
      </c>
      <c r="E27" s="47"/>
      <c r="F27" s="30"/>
    </row>
    <row r="28" spans="1:7" x14ac:dyDescent="0.2">
      <c r="A28" s="14" t="s">
        <v>24</v>
      </c>
      <c r="B28" s="15"/>
      <c r="C28" s="8"/>
      <c r="D28" s="5">
        <f>+IF(C28&gt;(D23*25%),D23*25%,IF(C28&gt;E28,E28,C28))</f>
        <v>0</v>
      </c>
      <c r="E28" s="13">
        <f>(2500*D6)/12</f>
        <v>10374791.666666666</v>
      </c>
      <c r="F28" s="30"/>
    </row>
    <row r="29" spans="1:7" x14ac:dyDescent="0.2">
      <c r="A29" s="6" t="s">
        <v>25</v>
      </c>
      <c r="B29" s="7" t="s">
        <v>26</v>
      </c>
      <c r="C29" s="8"/>
      <c r="D29" s="5">
        <f>+C33</f>
        <v>0</v>
      </c>
      <c r="E29" s="30"/>
      <c r="F29" s="30"/>
    </row>
    <row r="30" spans="1:7" ht="15" x14ac:dyDescent="0.25">
      <c r="A30" s="3" t="s">
        <v>27</v>
      </c>
      <c r="B30" s="3"/>
      <c r="C30" s="4"/>
      <c r="D30" s="4">
        <f>SUM(D26:D29)</f>
        <v>0</v>
      </c>
      <c r="E30" s="30"/>
      <c r="F30" s="30"/>
      <c r="G30" s="16"/>
    </row>
    <row r="31" spans="1:7" x14ac:dyDescent="0.2">
      <c r="D31" s="11"/>
    </row>
    <row r="32" spans="1:7" ht="15" x14ac:dyDescent="0.25">
      <c r="A32" s="3" t="s">
        <v>28</v>
      </c>
      <c r="B32" s="3" t="s">
        <v>1</v>
      </c>
      <c r="C32" s="4" t="s">
        <v>2</v>
      </c>
      <c r="D32" s="5" t="s">
        <v>3</v>
      </c>
      <c r="E32" s="12" t="s">
        <v>20</v>
      </c>
      <c r="F32" s="30"/>
    </row>
    <row r="33" spans="1:6" x14ac:dyDescent="0.2">
      <c r="A33" s="6" t="s">
        <v>29</v>
      </c>
      <c r="B33" s="7" t="s">
        <v>30</v>
      </c>
      <c r="C33" s="8"/>
      <c r="D33" s="5">
        <f>+IF(C33&gt;E33,E33,C33)</f>
        <v>0</v>
      </c>
      <c r="E33" s="13">
        <f>+(1200/12)*D6</f>
        <v>4979900</v>
      </c>
      <c r="F33" s="30"/>
    </row>
    <row r="34" spans="1:6" x14ac:dyDescent="0.2">
      <c r="A34" s="6" t="s">
        <v>31</v>
      </c>
      <c r="B34" s="17" t="s">
        <v>32</v>
      </c>
      <c r="C34" s="8"/>
      <c r="D34" s="51">
        <f>+IF(C34+C35+C36&gt;E34,E34,C34+C35+C36)</f>
        <v>0</v>
      </c>
      <c r="E34" s="54">
        <f>16*D6</f>
        <v>796784</v>
      </c>
      <c r="F34" s="30"/>
    </row>
    <row r="35" spans="1:6" x14ac:dyDescent="0.2">
      <c r="A35" s="6" t="s">
        <v>33</v>
      </c>
      <c r="B35" s="17" t="s">
        <v>32</v>
      </c>
      <c r="C35" s="8"/>
      <c r="D35" s="52"/>
      <c r="E35" s="54"/>
      <c r="F35" s="30"/>
    </row>
    <row r="36" spans="1:6" x14ac:dyDescent="0.2">
      <c r="A36" s="6" t="s">
        <v>34</v>
      </c>
      <c r="B36" s="17" t="s">
        <v>32</v>
      </c>
      <c r="C36" s="8"/>
      <c r="D36" s="53"/>
      <c r="E36" s="54"/>
      <c r="F36" s="30"/>
    </row>
    <row r="37" spans="1:6" x14ac:dyDescent="0.2">
      <c r="A37" s="6" t="s">
        <v>35</v>
      </c>
      <c r="B37" s="7" t="s">
        <v>30</v>
      </c>
      <c r="C37" s="8"/>
      <c r="D37" s="5">
        <f>+IF(C37&gt;E37,E37,C37)</f>
        <v>0</v>
      </c>
      <c r="E37" s="13">
        <f>+(1200/12)*D6</f>
        <v>4979900</v>
      </c>
      <c r="F37" s="30"/>
    </row>
    <row r="38" spans="1:6" x14ac:dyDescent="0.2">
      <c r="A38" s="6" t="s">
        <v>36</v>
      </c>
      <c r="B38" s="18" t="s">
        <v>37</v>
      </c>
      <c r="C38" s="19" t="s">
        <v>38</v>
      </c>
      <c r="D38" s="5">
        <f>+IF(C38="SI",MIN(E38:F38),0)</f>
        <v>0</v>
      </c>
      <c r="E38" s="13">
        <f>+D6*32</f>
        <v>1593568</v>
      </c>
      <c r="F38" s="13">
        <f>+D23*10%</f>
        <v>0</v>
      </c>
    </row>
    <row r="39" spans="1:6" x14ac:dyDescent="0.2">
      <c r="A39" s="6"/>
      <c r="B39" s="18" t="s">
        <v>38</v>
      </c>
      <c r="C39" s="19"/>
      <c r="D39" s="20"/>
      <c r="E39" s="13"/>
      <c r="F39" s="13"/>
    </row>
    <row r="40" spans="1:6" ht="15" x14ac:dyDescent="0.25">
      <c r="A40" s="3" t="s">
        <v>39</v>
      </c>
      <c r="B40" s="3"/>
      <c r="C40" s="4"/>
      <c r="D40" s="4">
        <f>SUM(D33:D38)</f>
        <v>0</v>
      </c>
      <c r="E40" s="30"/>
      <c r="F40" s="30"/>
    </row>
    <row r="41" spans="1:6" x14ac:dyDescent="0.2">
      <c r="D41" s="11"/>
    </row>
    <row r="42" spans="1:6" ht="15" x14ac:dyDescent="0.25">
      <c r="A42" s="3" t="s">
        <v>40</v>
      </c>
      <c r="B42" s="3" t="s">
        <v>1</v>
      </c>
      <c r="C42" s="4" t="s">
        <v>2</v>
      </c>
      <c r="D42" s="5" t="s">
        <v>3</v>
      </c>
      <c r="E42" s="12" t="s">
        <v>20</v>
      </c>
      <c r="F42" s="30"/>
    </row>
    <row r="43" spans="1:6" x14ac:dyDescent="0.2">
      <c r="A43" s="6" t="s">
        <v>41</v>
      </c>
      <c r="B43" s="7" t="s">
        <v>42</v>
      </c>
      <c r="C43" s="8"/>
      <c r="D43" s="51">
        <f>+MIN(SUM(C43:C44),E43:E44)</f>
        <v>0</v>
      </c>
      <c r="E43" s="21">
        <f>(3800*D6)/12</f>
        <v>15769683.333333334</v>
      </c>
      <c r="F43" s="30"/>
    </row>
    <row r="44" spans="1:6" x14ac:dyDescent="0.2">
      <c r="A44" s="6" t="s">
        <v>43</v>
      </c>
      <c r="B44" s="7" t="s">
        <v>44</v>
      </c>
      <c r="C44" s="8"/>
      <c r="D44" s="53"/>
      <c r="E44" s="21">
        <f>+D23*30%</f>
        <v>0</v>
      </c>
      <c r="F44" s="30"/>
    </row>
    <row r="45" spans="1:6" x14ac:dyDescent="0.2">
      <c r="A45" s="6" t="s">
        <v>45</v>
      </c>
      <c r="B45" s="7" t="s">
        <v>46</v>
      </c>
      <c r="C45" s="8"/>
      <c r="D45" s="5">
        <f>+C45</f>
        <v>0</v>
      </c>
      <c r="E45" s="30"/>
      <c r="F45" s="30"/>
    </row>
    <row r="46" spans="1:6" x14ac:dyDescent="0.2">
      <c r="A46" s="6" t="s">
        <v>47</v>
      </c>
      <c r="B46" s="7" t="s">
        <v>48</v>
      </c>
      <c r="C46" s="8"/>
      <c r="D46" s="5">
        <f>+C46</f>
        <v>0</v>
      </c>
      <c r="E46" s="30"/>
      <c r="F46" s="30"/>
    </row>
    <row r="47" spans="1:6" x14ac:dyDescent="0.2">
      <c r="A47" s="6" t="s">
        <v>49</v>
      </c>
      <c r="B47" s="7" t="s">
        <v>46</v>
      </c>
      <c r="C47" s="8"/>
      <c r="D47" s="5">
        <f>+C47</f>
        <v>0</v>
      </c>
      <c r="E47" s="30"/>
      <c r="F47" s="30"/>
    </row>
    <row r="48" spans="1:6" x14ac:dyDescent="0.2">
      <c r="A48" s="6" t="s">
        <v>50</v>
      </c>
      <c r="B48" s="7" t="s">
        <v>46</v>
      </c>
      <c r="C48" s="8"/>
      <c r="D48" s="5">
        <f>+C48</f>
        <v>0</v>
      </c>
      <c r="E48" s="30"/>
      <c r="F48" s="30"/>
    </row>
    <row r="49" spans="1:7" x14ac:dyDescent="0.2">
      <c r="A49" s="6" t="s">
        <v>51</v>
      </c>
      <c r="B49" s="7" t="s">
        <v>46</v>
      </c>
      <c r="C49" s="8"/>
      <c r="D49" s="5">
        <f>+C49</f>
        <v>0</v>
      </c>
      <c r="E49" s="30"/>
      <c r="F49" s="30"/>
    </row>
    <row r="50" spans="1:7" ht="15" x14ac:dyDescent="0.25">
      <c r="A50" s="3" t="s">
        <v>52</v>
      </c>
      <c r="B50" s="3"/>
      <c r="C50" s="4"/>
      <c r="D50" s="4">
        <f>SUM(D43:D49)</f>
        <v>0</v>
      </c>
      <c r="E50" s="30"/>
      <c r="F50" s="30"/>
    </row>
    <row r="52" spans="1:7" ht="15" x14ac:dyDescent="0.25">
      <c r="A52" s="3" t="s">
        <v>53</v>
      </c>
      <c r="B52" s="3"/>
      <c r="C52" s="4"/>
      <c r="D52" s="4">
        <f>+D23-D30-D40-D50</f>
        <v>0</v>
      </c>
    </row>
    <row r="53" spans="1:7" x14ac:dyDescent="0.2">
      <c r="A53" s="16"/>
    </row>
    <row r="54" spans="1:7" ht="15" x14ac:dyDescent="0.25">
      <c r="A54" s="22" t="s">
        <v>53</v>
      </c>
      <c r="B54" s="23"/>
      <c r="C54" s="24"/>
      <c r="D54" s="24">
        <f>+D52-D53</f>
        <v>0</v>
      </c>
      <c r="E54" s="25" t="s">
        <v>54</v>
      </c>
      <c r="F54" s="25" t="s">
        <v>55</v>
      </c>
    </row>
    <row r="55" spans="1:7" x14ac:dyDescent="0.2">
      <c r="A55" s="31" t="s">
        <v>56</v>
      </c>
      <c r="B55" s="31" t="s">
        <v>57</v>
      </c>
      <c r="C55" s="5">
        <f>+(D6*790)/12</f>
        <v>3278434.1666666665</v>
      </c>
      <c r="D55" s="5">
        <f>+MIN(E55:F55)</f>
        <v>0</v>
      </c>
      <c r="E55" s="1">
        <f>+(65.8333333333333)*D6</f>
        <v>3278434.1666666651</v>
      </c>
      <c r="F55" s="1">
        <f>+(D23-D30)*25%</f>
        <v>0</v>
      </c>
    </row>
    <row r="56" spans="1:7" x14ac:dyDescent="0.2">
      <c r="A56" s="7" t="s">
        <v>58</v>
      </c>
      <c r="B56" s="7" t="s">
        <v>59</v>
      </c>
      <c r="C56" s="20">
        <f>+(D23-D30)*40%</f>
        <v>0</v>
      </c>
      <c r="D56" s="5">
        <f>+MIN(E56:F56)</f>
        <v>0</v>
      </c>
      <c r="E56" s="1">
        <f>+(D23-D30)*40%</f>
        <v>0</v>
      </c>
      <c r="F56" s="1">
        <f>+(1340/12)*D6</f>
        <v>5560888.333333334</v>
      </c>
    </row>
    <row r="57" spans="1:7" x14ac:dyDescent="0.2">
      <c r="E57" s="2"/>
      <c r="F57" s="2"/>
    </row>
    <row r="58" spans="1:7" ht="15" x14ac:dyDescent="0.25">
      <c r="A58" s="22" t="s">
        <v>60</v>
      </c>
      <c r="B58" s="23"/>
      <c r="C58" s="24"/>
      <c r="D58" s="24">
        <f>+(D23-D30)-MIN(D40+D50+D55,D56)</f>
        <v>0</v>
      </c>
      <c r="E58" s="30"/>
      <c r="F58" s="30"/>
    </row>
    <row r="59" spans="1:7" x14ac:dyDescent="0.2">
      <c r="A59" s="31" t="s">
        <v>61</v>
      </c>
      <c r="B59" s="31"/>
      <c r="C59" s="5"/>
      <c r="D59" s="5">
        <f>+D58/D6</f>
        <v>0</v>
      </c>
      <c r="E59" s="30"/>
      <c r="F59" s="30"/>
    </row>
    <row r="61" spans="1:7" ht="14.25" x14ac:dyDescent="0.2">
      <c r="A61" s="26"/>
      <c r="B61" s="55" t="s">
        <v>62</v>
      </c>
      <c r="C61" s="56"/>
      <c r="D61" s="57" t="s">
        <v>63</v>
      </c>
      <c r="E61" s="59" t="s">
        <v>64</v>
      </c>
    </row>
    <row r="62" spans="1:7" ht="15" thickBot="1" x14ac:dyDescent="0.25">
      <c r="A62" s="27" t="s">
        <v>65</v>
      </c>
      <c r="B62" s="27" t="s">
        <v>66</v>
      </c>
      <c r="C62" s="28" t="s">
        <v>67</v>
      </c>
      <c r="D62" s="58"/>
      <c r="E62" s="60"/>
    </row>
    <row r="63" spans="1:7" ht="15" thickBot="1" x14ac:dyDescent="0.25">
      <c r="A63" s="25" t="s">
        <v>68</v>
      </c>
      <c r="B63" s="32" t="s">
        <v>69</v>
      </c>
      <c r="C63" s="33">
        <v>95</v>
      </c>
      <c r="D63" s="61">
        <v>0</v>
      </c>
      <c r="E63" s="34">
        <v>0</v>
      </c>
    </row>
    <row r="64" spans="1:7" ht="15" thickBot="1" x14ac:dyDescent="0.25">
      <c r="A64" s="35" t="s">
        <v>70</v>
      </c>
      <c r="B64" s="36">
        <v>95</v>
      </c>
      <c r="C64" s="37">
        <v>150</v>
      </c>
      <c r="D64" s="62">
        <v>0.19</v>
      </c>
      <c r="E64" s="38">
        <f>+($D$59-B64)*D64</f>
        <v>-18.05</v>
      </c>
      <c r="G64" s="29"/>
    </row>
    <row r="65" spans="1:7" ht="15" thickBot="1" x14ac:dyDescent="0.25">
      <c r="A65" s="35" t="s">
        <v>71</v>
      </c>
      <c r="B65" s="36">
        <v>150</v>
      </c>
      <c r="C65" s="37">
        <v>360</v>
      </c>
      <c r="D65" s="62">
        <v>0.28000000000000003</v>
      </c>
      <c r="E65" s="38">
        <f>+(($D$59-B65)*D65)+10</f>
        <v>-32.000000000000007</v>
      </c>
    </row>
    <row r="66" spans="1:7" ht="15" thickBot="1" x14ac:dyDescent="0.25">
      <c r="A66" s="35" t="s">
        <v>72</v>
      </c>
      <c r="B66" s="39">
        <v>360</v>
      </c>
      <c r="C66" s="40">
        <v>640</v>
      </c>
      <c r="D66" s="63">
        <v>0.33</v>
      </c>
      <c r="E66" s="38">
        <f>+(($D$59-B66)*33%)+69</f>
        <v>-49.800000000000011</v>
      </c>
    </row>
    <row r="67" spans="1:7" ht="15" thickBot="1" x14ac:dyDescent="0.25">
      <c r="A67" s="35" t="s">
        <v>73</v>
      </c>
      <c r="B67" s="39">
        <v>640</v>
      </c>
      <c r="C67" s="40">
        <v>945</v>
      </c>
      <c r="D67" s="63">
        <v>0.35</v>
      </c>
      <c r="E67" s="38">
        <f>+(($D$59-B67)*35%)+162</f>
        <v>-62</v>
      </c>
    </row>
    <row r="68" spans="1:7" ht="15" thickBot="1" x14ac:dyDescent="0.25">
      <c r="A68" s="35" t="s">
        <v>74</v>
      </c>
      <c r="B68" s="39">
        <v>945</v>
      </c>
      <c r="C68" s="40">
        <v>2300</v>
      </c>
      <c r="D68" s="63">
        <v>0.37</v>
      </c>
      <c r="E68" s="38">
        <f>+(($D$59-B68)*37%)+268</f>
        <v>-81.649999999999977</v>
      </c>
      <c r="G68" s="16" t="s">
        <v>75</v>
      </c>
    </row>
    <row r="69" spans="1:7" ht="15" thickBot="1" x14ac:dyDescent="0.25">
      <c r="A69" s="41" t="s">
        <v>76</v>
      </c>
      <c r="B69" s="36">
        <v>2300</v>
      </c>
      <c r="C69" s="37" t="s">
        <v>77</v>
      </c>
      <c r="D69" s="62">
        <v>0.39</v>
      </c>
      <c r="E69" s="38">
        <f>+(($D$59-B69)*39%)+770</f>
        <v>-127</v>
      </c>
    </row>
    <row r="72" spans="1:7" s="46" customFormat="1" ht="20.25" x14ac:dyDescent="0.3">
      <c r="A72" s="42" t="s">
        <v>78</v>
      </c>
      <c r="B72" s="43" cm="1">
        <f t="array" ref="B72">+_xlfn.IFS($D$59&lt;95,E63,$D$59&lt;=150,E64,$D$59&lt;=360,E65,$D$59&lt;=640,E66,$D$59&lt;=945,E67,$D$59&lt;=2300,E68,$D$59&gt;2300,E69)</f>
        <v>0</v>
      </c>
      <c r="C72" s="44" t="s">
        <v>79</v>
      </c>
      <c r="D72" s="45">
        <f>+$B$72*D6</f>
        <v>0</v>
      </c>
    </row>
    <row r="74" spans="1:7" x14ac:dyDescent="0.2">
      <c r="E74" s="29"/>
    </row>
    <row r="77" spans="1:7" x14ac:dyDescent="0.2">
      <c r="A77" s="50" t="s">
        <v>80</v>
      </c>
      <c r="B77" s="50"/>
      <c r="C77" s="50"/>
      <c r="D77" s="50"/>
      <c r="E77" s="50"/>
      <c r="F77" s="50"/>
    </row>
    <row r="78" spans="1:7" x14ac:dyDescent="0.2">
      <c r="A78" s="50"/>
      <c r="B78" s="50"/>
      <c r="C78" s="50"/>
      <c r="D78" s="50"/>
      <c r="E78" s="50"/>
      <c r="F78" s="50"/>
    </row>
  </sheetData>
  <sheetProtection algorithmName="SHA-512" hashValue="gNzacv4rIcL9NybKqNmeHPPtTmxPFJxQvJF8K19WO93wvRawBEldKC1bYUv9HCMSCU2hKVe4jYcdRmH6q4zoHA==" saltValue="q1IIIDPRy52tCOMVs2bXOg==" spinCount="100000" sheet="1" objects="1" scenarios="1"/>
  <protectedRanges>
    <protectedRange sqref="C9:C22 C26:C29 C33:C38 C43:C49 A7" name="Rango1"/>
  </protectedRanges>
  <dataConsolidate/>
  <mergeCells count="8">
    <mergeCell ref="A1:F5"/>
    <mergeCell ref="A77:F78"/>
    <mergeCell ref="D34:D36"/>
    <mergeCell ref="E34:E36"/>
    <mergeCell ref="D43:D44"/>
    <mergeCell ref="B61:C61"/>
    <mergeCell ref="D61:D62"/>
    <mergeCell ref="E61:E62"/>
  </mergeCells>
  <conditionalFormatting sqref="C38:C39">
    <cfRule type="duplicateValues" dxfId="1" priority="1"/>
    <cfRule type="duplicateValues" dxfId="0" priority="2"/>
  </conditionalFormatting>
  <dataValidations count="1">
    <dataValidation type="list" allowBlank="1" showInputMessage="1" showErrorMessage="1" sqref="C38" xr:uid="{23A0EAF7-75E8-454A-89F6-1796E3A144D2}">
      <formula1>$B$38:$B$39</formula1>
    </dataValidation>
  </dataValidations>
  <hyperlinks>
    <hyperlink ref="A77:C78" r:id="rId1" display="Aporte Voluntario para nuevas Actulizaciones tributarias " xr:uid="{F420913C-6EBF-4D87-8A53-941C36857E2F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LIQUIDADOR DE RTE FTE SALARIOS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Correa</dc:creator>
  <cp:lastModifiedBy>Alexander Correa</cp:lastModifiedBy>
  <dcterms:created xsi:type="dcterms:W3CDTF">2024-01-29T03:47:00Z</dcterms:created>
  <dcterms:modified xsi:type="dcterms:W3CDTF">2025-01-20T02:42:59Z</dcterms:modified>
</cp:coreProperties>
</file>